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90" windowHeight="6330" firstSheet="1" activeTab="4"/>
  </bookViews>
  <sheets>
    <sheet name="Valoración_Tráfico_Lote_1_movil" sheetId="1" r:id="rId1"/>
    <sheet name="Val_Bonos voz-Datos_lote_1" sheetId="2" r:id="rId2"/>
    <sheet name="Puntuación Lote 1 movil" sheetId="3" r:id="rId3"/>
    <sheet name="Tráfico Lote 2 Fija" sheetId="4" r:id="rId4"/>
    <sheet name="Puntuación Lote  2 Fija" sheetId="5" r:id="rId5"/>
    <sheet name="Puntuación Integrada-individual" sheetId="6" r:id="rId6"/>
    <sheet name="Hoja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Antonio</author>
  </authors>
  <commentList>
    <comment ref="B10" authorId="0">
      <text>
        <r>
          <rPr>
            <b/>
            <sz val="8"/>
            <rFont val="Tahoma"/>
            <family val="2"/>
          </rPr>
          <t>Antonio: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Antonio: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Antonio: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Antonio</author>
  </authors>
  <commentList>
    <comment ref="B8" authorId="0">
      <text>
        <r>
          <rPr>
            <b/>
            <sz val="8"/>
            <rFont val="Tahoma"/>
            <family val="2"/>
          </rPr>
          <t>Antonio: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<sst xmlns="http://schemas.openxmlformats.org/spreadsheetml/2006/main" count="137" uniqueCount="88">
  <si>
    <t>Llamadas</t>
  </si>
  <si>
    <t>Minutos</t>
  </si>
  <si>
    <t>France Telecom España</t>
  </si>
  <si>
    <t>Vodafone</t>
  </si>
  <si>
    <t>TRÁFICO UCA</t>
  </si>
  <si>
    <t>Telefonica</t>
  </si>
  <si>
    <t>Coste 2 primarios 24 meses</t>
  </si>
  <si>
    <t>PMO =</t>
  </si>
  <si>
    <t>PL =</t>
  </si>
  <si>
    <t>OF (France Telecom E)</t>
  </si>
  <si>
    <t>OF(Vodafone) =</t>
  </si>
  <si>
    <t>OF (Telefonica) =</t>
  </si>
  <si>
    <t>MO =</t>
  </si>
  <si>
    <t>LT =</t>
  </si>
  <si>
    <t>Puntos</t>
  </si>
  <si>
    <t>Bonos de llamadas entre corporativos</t>
  </si>
  <si>
    <t>Puntuación Máx</t>
  </si>
  <si>
    <t>Precio</t>
  </si>
  <si>
    <t>Bajada  precio para 0,1 puntos</t>
  </si>
  <si>
    <t>Minutos / MB</t>
  </si>
  <si>
    <t>Precio máx.</t>
  </si>
  <si>
    <t>Puntos totales</t>
  </si>
  <si>
    <t>Oferta técnica - sobre B</t>
  </si>
  <si>
    <t>Tráfico - Sobre C</t>
  </si>
  <si>
    <t>Bonos - Sobre C</t>
  </si>
  <si>
    <t>Total</t>
  </si>
  <si>
    <t>Integrada Telefónica</t>
  </si>
  <si>
    <t>OF (Integrada Telefonica) =</t>
  </si>
  <si>
    <t>Integrada Telefonica</t>
  </si>
  <si>
    <t>Coste ddi</t>
  </si>
  <si>
    <t>Horas</t>
  </si>
  <si>
    <t>Nivel tarificación 1</t>
  </si>
  <si>
    <t>Nivel tarificación 2</t>
  </si>
  <si>
    <t>Nivel tarificación 3</t>
  </si>
  <si>
    <t>Nivel tarificación 4</t>
  </si>
  <si>
    <t>Nivel tarificación 5</t>
  </si>
  <si>
    <t>Nivel tarificación 9</t>
  </si>
  <si>
    <t>Zona 1</t>
  </si>
  <si>
    <t>Zona 2</t>
  </si>
  <si>
    <t>Zona 3</t>
  </si>
  <si>
    <t>Zona 4</t>
  </si>
  <si>
    <t xml:space="preserve">Lote 1 </t>
  </si>
  <si>
    <t>Lote 2</t>
  </si>
  <si>
    <t>Mejor oferta Integrada (Telefonica)</t>
  </si>
  <si>
    <t>Ponderación para comparación ofertas</t>
  </si>
  <si>
    <t>Factor de ponderación =</t>
  </si>
  <si>
    <t>MO Lote 1 integrada =</t>
  </si>
  <si>
    <t>Bono de llamada de número corporativo y  a operadores móviles y fijos nacionales</t>
  </si>
  <si>
    <t>Lote 1</t>
  </si>
  <si>
    <t>Lote 2 - Fija</t>
  </si>
  <si>
    <t>MO Lote 1 =</t>
  </si>
  <si>
    <t>Lote 1 - Bonos llamadas y datos</t>
  </si>
  <si>
    <t>Oferta</t>
  </si>
  <si>
    <t xml:space="preserve">     Llamada a corporativo</t>
  </si>
  <si>
    <t xml:space="preserve">       Fijo Nacional</t>
  </si>
  <si>
    <t xml:space="preserve">         Otro Operador</t>
  </si>
  <si>
    <t xml:space="preserve">                Mismo operador</t>
  </si>
  <si>
    <t xml:space="preserve">            TP conexión a Internet</t>
  </si>
  <si>
    <t xml:space="preserve">           Internacionales</t>
  </si>
  <si>
    <t xml:space="preserve">               Nacionales</t>
  </si>
  <si>
    <t xml:space="preserve">               Provinciales</t>
  </si>
  <si>
    <t xml:space="preserve">                              Locales</t>
  </si>
  <si>
    <t>Resultado</t>
  </si>
  <si>
    <t>Supuesto 1</t>
  </si>
  <si>
    <t>Oferta Comunidad Universitaria</t>
  </si>
  <si>
    <t>Si</t>
  </si>
  <si>
    <t xml:space="preserve">Bonificación de France Telecom </t>
  </si>
  <si>
    <t>France Telecom</t>
  </si>
  <si>
    <t>Supuesto 2</t>
  </si>
  <si>
    <t>Supuesto 3</t>
  </si>
  <si>
    <t>Supuesto 4</t>
  </si>
  <si>
    <t>No</t>
  </si>
  <si>
    <t>Ganador en Móvil</t>
  </si>
  <si>
    <t>NO</t>
  </si>
  <si>
    <t>Comparación Integrada con mejores ofertas lote 1 y lote 2</t>
  </si>
  <si>
    <t>Max 55 puntos</t>
  </si>
  <si>
    <t>Máx 15 puntos</t>
  </si>
  <si>
    <t>Máx 30 puntos</t>
  </si>
  <si>
    <t>Máx 55 puntos</t>
  </si>
  <si>
    <t xml:space="preserve">        Puntos</t>
  </si>
  <si>
    <t>(Ptos Lote 1) x 2,177233456 + (Ptos Lote 2)</t>
  </si>
  <si>
    <t>Mejor oferta Lote  2 (Telefonica)</t>
  </si>
  <si>
    <t>Mejor oferta Lote 1 (France Telecom España)</t>
  </si>
  <si>
    <t xml:space="preserve">Lote 1 (ponderado)  + lote 2 </t>
  </si>
  <si>
    <t>Max 20 puntos</t>
  </si>
  <si>
    <t>Suministro Terminales IP - Sobre C</t>
  </si>
  <si>
    <t>Máx 25 puntos</t>
  </si>
  <si>
    <t>Oferta técnica - Sobre 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</si>
</sst>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00"/>
    <numFmt numFmtId="166" formatCode="0.00000"/>
    <numFmt numFmtId="167" formatCode="0.000"/>
    <numFmt numFmtId="168" formatCode="0.0000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16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16" borderId="11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16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16" borderId="12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2" fontId="0" fillId="16" borderId="10" xfId="0" applyNumberFormat="1" applyFill="1" applyBorder="1" applyAlignment="1">
      <alignment/>
    </xf>
    <xf numFmtId="2" fontId="0" fillId="16" borderId="10" xfId="0" applyNumberFormat="1" applyFill="1" applyBorder="1" applyAlignment="1">
      <alignment horizontal="center"/>
    </xf>
    <xf numFmtId="2" fontId="0" fillId="16" borderId="12" xfId="0" applyNumberForma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16" borderId="13" xfId="0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2" fillId="1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2" xfId="0" applyNumberFormat="1" applyBorder="1" applyAlignment="1">
      <alignment horizontal="center"/>
    </xf>
    <xf numFmtId="0" fontId="2" fillId="16" borderId="13" xfId="0" applyFont="1" applyFill="1" applyBorder="1" applyAlignment="1">
      <alignment/>
    </xf>
    <xf numFmtId="0" fontId="0" fillId="16" borderId="16" xfId="0" applyFill="1" applyBorder="1" applyAlignment="1">
      <alignment horizontal="right"/>
    </xf>
    <xf numFmtId="0" fontId="0" fillId="16" borderId="14" xfId="0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16" borderId="16" xfId="0" applyFont="1" applyFill="1" applyBorder="1" applyAlignment="1">
      <alignment horizontal="right"/>
    </xf>
    <xf numFmtId="0" fontId="0" fillId="16" borderId="14" xfId="0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0" xfId="0" applyFont="1" applyFill="1" applyBorder="1" applyAlignment="1">
      <alignment/>
    </xf>
    <xf numFmtId="4" fontId="0" fillId="16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16" borderId="14" xfId="0" applyFill="1" applyBorder="1" applyAlignment="1">
      <alignment/>
    </xf>
    <xf numFmtId="4" fontId="1" fillId="0" borderId="0" xfId="0" applyNumberFormat="1" applyFont="1" applyAlignment="1">
      <alignment/>
    </xf>
    <xf numFmtId="166" fontId="0" fillId="16" borderId="0" xfId="0" applyNumberFormat="1" applyFill="1" applyBorder="1" applyAlignment="1">
      <alignment/>
    </xf>
    <xf numFmtId="4" fontId="0" fillId="16" borderId="0" xfId="0" applyNumberFormat="1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3" xfId="0" applyFill="1" applyBorder="1" applyAlignment="1">
      <alignment/>
    </xf>
    <xf numFmtId="0" fontId="2" fillId="16" borderId="18" xfId="0" applyFont="1" applyFill="1" applyBorder="1" applyAlignment="1">
      <alignment/>
    </xf>
    <xf numFmtId="3" fontId="0" fillId="16" borderId="19" xfId="0" applyNumberFormat="1" applyFill="1" applyBorder="1" applyAlignment="1">
      <alignment/>
    </xf>
    <xf numFmtId="0" fontId="2" fillId="16" borderId="21" xfId="0" applyFont="1" applyFill="1" applyBorder="1" applyAlignment="1">
      <alignment/>
    </xf>
    <xf numFmtId="3" fontId="0" fillId="16" borderId="22" xfId="0" applyNumberFormat="1" applyFill="1" applyBorder="1" applyAlignment="1">
      <alignment/>
    </xf>
    <xf numFmtId="3" fontId="0" fillId="16" borderId="18" xfId="0" applyNumberFormat="1" applyFill="1" applyBorder="1" applyAlignment="1">
      <alignment/>
    </xf>
    <xf numFmtId="3" fontId="0" fillId="16" borderId="20" xfId="0" applyNumberFormat="1" applyFill="1" applyBorder="1" applyAlignment="1">
      <alignment/>
    </xf>
    <xf numFmtId="3" fontId="0" fillId="16" borderId="21" xfId="0" applyNumberFormat="1" applyFill="1" applyBorder="1" applyAlignment="1">
      <alignment/>
    </xf>
    <xf numFmtId="3" fontId="0" fillId="16" borderId="15" xfId="0" applyNumberFormat="1" applyFill="1" applyBorder="1" applyAlignment="1">
      <alignment/>
    </xf>
    <xf numFmtId="0" fontId="2" fillId="24" borderId="18" xfId="0" applyFont="1" applyFill="1" applyBorder="1" applyAlignment="1">
      <alignment/>
    </xf>
    <xf numFmtId="0" fontId="0" fillId="24" borderId="19" xfId="0" applyFill="1" applyBorder="1" applyAlignment="1">
      <alignment/>
    </xf>
    <xf numFmtId="166" fontId="0" fillId="24" borderId="19" xfId="0" applyNumberFormat="1" applyFill="1" applyBorder="1" applyAlignment="1">
      <alignment/>
    </xf>
    <xf numFmtId="0" fontId="2" fillId="24" borderId="21" xfId="0" applyFont="1" applyFill="1" applyBorder="1" applyAlignment="1">
      <alignment/>
    </xf>
    <xf numFmtId="0" fontId="0" fillId="24" borderId="22" xfId="0" applyFill="1" applyBorder="1" applyAlignment="1">
      <alignment/>
    </xf>
    <xf numFmtId="4" fontId="0" fillId="24" borderId="22" xfId="0" applyNumberFormat="1" applyFill="1" applyBorder="1" applyAlignment="1">
      <alignment/>
    </xf>
    <xf numFmtId="4" fontId="0" fillId="24" borderId="15" xfId="0" applyNumberFormat="1" applyFill="1" applyBorder="1" applyAlignment="1">
      <alignment/>
    </xf>
    <xf numFmtId="0" fontId="0" fillId="24" borderId="21" xfId="0" applyFill="1" applyBorder="1" applyAlignment="1">
      <alignment/>
    </xf>
    <xf numFmtId="166" fontId="0" fillId="16" borderId="19" xfId="0" applyNumberFormat="1" applyFill="1" applyBorder="1" applyAlignment="1">
      <alignment/>
    </xf>
    <xf numFmtId="4" fontId="0" fillId="16" borderId="22" xfId="0" applyNumberFormat="1" applyFill="1" applyBorder="1" applyAlignment="1">
      <alignment/>
    </xf>
    <xf numFmtId="4" fontId="0" fillId="16" borderId="15" xfId="0" applyNumberFormat="1" applyFill="1" applyBorder="1" applyAlignment="1">
      <alignment/>
    </xf>
    <xf numFmtId="0" fontId="2" fillId="16" borderId="23" xfId="0" applyFont="1" applyFill="1" applyBorder="1" applyAlignment="1">
      <alignment/>
    </xf>
    <xf numFmtId="0" fontId="0" fillId="16" borderId="23" xfId="0" applyFill="1" applyBorder="1" applyAlignment="1">
      <alignment/>
    </xf>
    <xf numFmtId="4" fontId="0" fillId="16" borderId="24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16" borderId="16" xfId="0" applyFill="1" applyBorder="1" applyAlignment="1">
      <alignment/>
    </xf>
    <xf numFmtId="166" fontId="0" fillId="24" borderId="18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0" fillId="24" borderId="15" xfId="0" applyFill="1" applyBorder="1" applyAlignment="1">
      <alignment/>
    </xf>
    <xf numFmtId="166" fontId="0" fillId="16" borderId="18" xfId="0" applyNumberFormat="1" applyFill="1" applyBorder="1" applyAlignment="1">
      <alignment/>
    </xf>
    <xf numFmtId="166" fontId="0" fillId="16" borderId="20" xfId="0" applyNumberFormat="1" applyFill="1" applyBorder="1" applyAlignment="1">
      <alignment/>
    </xf>
    <xf numFmtId="4" fontId="0" fillId="16" borderId="21" xfId="0" applyNumberFormat="1" applyFill="1" applyBorder="1" applyAlignment="1">
      <alignment/>
    </xf>
    <xf numFmtId="4" fontId="0" fillId="24" borderId="21" xfId="0" applyNumberFormat="1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3" fontId="0" fillId="16" borderId="19" xfId="0" applyNumberFormat="1" applyFill="1" applyBorder="1" applyAlignment="1">
      <alignment horizontal="center"/>
    </xf>
    <xf numFmtId="3" fontId="0" fillId="16" borderId="22" xfId="0" applyNumberFormat="1" applyFill="1" applyBorder="1" applyAlignment="1">
      <alignment horizontal="center"/>
    </xf>
    <xf numFmtId="166" fontId="0" fillId="24" borderId="19" xfId="0" applyNumberFormat="1" applyFill="1" applyBorder="1" applyAlignment="1">
      <alignment horizontal="right"/>
    </xf>
    <xf numFmtId="0" fontId="0" fillId="24" borderId="22" xfId="0" applyFill="1" applyBorder="1" applyAlignment="1">
      <alignment horizontal="right"/>
    </xf>
    <xf numFmtId="166" fontId="0" fillId="16" borderId="0" xfId="0" applyNumberFormat="1" applyFill="1" applyBorder="1" applyAlignment="1">
      <alignment horizontal="right"/>
    </xf>
    <xf numFmtId="4" fontId="0" fillId="16" borderId="0" xfId="0" applyNumberFormat="1" applyFill="1" applyBorder="1" applyAlignment="1">
      <alignment horizontal="right"/>
    </xf>
    <xf numFmtId="4" fontId="0" fillId="24" borderId="22" xfId="0" applyNumberFormat="1" applyFill="1" applyBorder="1" applyAlignment="1">
      <alignment horizontal="right"/>
    </xf>
    <xf numFmtId="166" fontId="0" fillId="16" borderId="19" xfId="0" applyNumberFormat="1" applyFill="1" applyBorder="1" applyAlignment="1">
      <alignment horizontal="right"/>
    </xf>
    <xf numFmtId="4" fontId="0" fillId="16" borderId="22" xfId="0" applyNumberFormat="1" applyFill="1" applyBorder="1" applyAlignment="1">
      <alignment horizontal="right"/>
    </xf>
    <xf numFmtId="166" fontId="0" fillId="24" borderId="18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0" fillId="24" borderId="21" xfId="0" applyFill="1" applyBorder="1" applyAlignment="1">
      <alignment horizontal="right"/>
    </xf>
    <xf numFmtId="0" fontId="0" fillId="24" borderId="15" xfId="0" applyFill="1" applyBorder="1" applyAlignment="1">
      <alignment horizontal="right"/>
    </xf>
    <xf numFmtId="166" fontId="0" fillId="16" borderId="18" xfId="0" applyNumberFormat="1" applyFill="1" applyBorder="1" applyAlignment="1">
      <alignment horizontal="right"/>
    </xf>
    <xf numFmtId="166" fontId="0" fillId="16" borderId="20" xfId="0" applyNumberFormat="1" applyFill="1" applyBorder="1" applyAlignment="1">
      <alignment horizontal="right"/>
    </xf>
    <xf numFmtId="4" fontId="0" fillId="16" borderId="21" xfId="0" applyNumberFormat="1" applyFill="1" applyBorder="1" applyAlignment="1">
      <alignment horizontal="right"/>
    </xf>
    <xf numFmtId="4" fontId="0" fillId="16" borderId="15" xfId="0" applyNumberFormat="1" applyFill="1" applyBorder="1" applyAlignment="1">
      <alignment horizontal="right"/>
    </xf>
    <xf numFmtId="4" fontId="0" fillId="24" borderId="21" xfId="0" applyNumberFormat="1" applyFill="1" applyBorder="1" applyAlignment="1">
      <alignment horizontal="right"/>
    </xf>
    <xf numFmtId="4" fontId="0" fillId="24" borderId="15" xfId="0" applyNumberFormat="1" applyFill="1" applyBorder="1" applyAlignment="1">
      <alignment horizontal="right"/>
    </xf>
    <xf numFmtId="166" fontId="0" fillId="16" borderId="23" xfId="0" applyNumberFormat="1" applyFill="1" applyBorder="1" applyAlignment="1">
      <alignment/>
    </xf>
    <xf numFmtId="166" fontId="0" fillId="16" borderId="24" xfId="0" applyNumberFormat="1" applyFill="1" applyBorder="1" applyAlignment="1">
      <alignment/>
    </xf>
    <xf numFmtId="4" fontId="0" fillId="16" borderId="23" xfId="0" applyNumberFormat="1" applyFill="1" applyBorder="1" applyAlignment="1">
      <alignment/>
    </xf>
    <xf numFmtId="0" fontId="0" fillId="16" borderId="19" xfId="0" applyFont="1" applyFill="1" applyBorder="1" applyAlignment="1">
      <alignment horizontal="center"/>
    </xf>
    <xf numFmtId="0" fontId="0" fillId="16" borderId="18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2" fillId="24" borderId="13" xfId="0" applyFont="1" applyFill="1" applyBorder="1" applyAlignment="1">
      <alignment/>
    </xf>
    <xf numFmtId="0" fontId="0" fillId="24" borderId="12" xfId="0" applyFill="1" applyBorder="1" applyAlignment="1">
      <alignment/>
    </xf>
    <xf numFmtId="0" fontId="2" fillId="16" borderId="16" xfId="0" applyFont="1" applyFill="1" applyBorder="1" applyAlignment="1">
      <alignment/>
    </xf>
    <xf numFmtId="168" fontId="0" fillId="16" borderId="10" xfId="0" applyNumberFormat="1" applyFill="1" applyBorder="1" applyAlignment="1">
      <alignment/>
    </xf>
    <xf numFmtId="4" fontId="0" fillId="16" borderId="12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0" fontId="2" fillId="16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2" fontId="2" fillId="16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5" fillId="24" borderId="22" xfId="0" applyNumberFormat="1" applyFont="1" applyFill="1" applyBorder="1" applyAlignment="1">
      <alignment/>
    </xf>
    <xf numFmtId="4" fontId="5" fillId="16" borderId="0" xfId="0" applyNumberFormat="1" applyFont="1" applyFill="1" applyBorder="1" applyAlignment="1">
      <alignment/>
    </xf>
    <xf numFmtId="4" fontId="5" fillId="24" borderId="19" xfId="0" applyNumberFormat="1" applyFont="1" applyFill="1" applyBorder="1" applyAlignment="1">
      <alignment/>
    </xf>
    <xf numFmtId="4" fontId="5" fillId="16" borderId="19" xfId="0" applyNumberFormat="1" applyFont="1" applyFill="1" applyBorder="1" applyAlignment="1">
      <alignment/>
    </xf>
    <xf numFmtId="4" fontId="5" fillId="16" borderId="22" xfId="0" applyNumberFormat="1" applyFont="1" applyFill="1" applyBorder="1" applyAlignment="1">
      <alignment/>
    </xf>
    <xf numFmtId="4" fontId="2" fillId="24" borderId="14" xfId="0" applyNumberFormat="1" applyFont="1" applyFill="1" applyBorder="1" applyAlignment="1">
      <alignment/>
    </xf>
    <xf numFmtId="4" fontId="2" fillId="16" borderId="16" xfId="0" applyNumberFormat="1" applyFont="1" applyFill="1" applyBorder="1" applyAlignment="1">
      <alignment/>
    </xf>
    <xf numFmtId="4" fontId="2" fillId="16" borderId="13" xfId="0" applyNumberFormat="1" applyFont="1" applyFill="1" applyBorder="1" applyAlignment="1">
      <alignment/>
    </xf>
    <xf numFmtId="4" fontId="2" fillId="16" borderId="14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/>
    </xf>
    <xf numFmtId="4" fontId="2" fillId="16" borderId="10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4" fontId="2" fillId="24" borderId="12" xfId="0" applyNumberFormat="1" applyFont="1" applyFill="1" applyBorder="1" applyAlignment="1">
      <alignment/>
    </xf>
    <xf numFmtId="0" fontId="6" fillId="16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16" borderId="14" xfId="0" applyFont="1" applyFill="1" applyBorder="1" applyAlignment="1">
      <alignment/>
    </xf>
    <xf numFmtId="2" fontId="0" fillId="16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2" fontId="0" fillId="19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7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21.28125" style="0" customWidth="1"/>
    <col min="2" max="2" width="23.421875" style="0" customWidth="1"/>
    <col min="3" max="3" width="18.28125" style="0" customWidth="1"/>
    <col min="4" max="4" width="12.00390625" style="0" bestFit="1" customWidth="1"/>
    <col min="5" max="6" width="12.28125" style="0" customWidth="1"/>
    <col min="7" max="7" width="12.7109375" style="0" customWidth="1"/>
    <col min="8" max="8" width="9.421875" style="0" customWidth="1"/>
    <col min="9" max="9" width="11.7109375" style="0" customWidth="1"/>
    <col min="10" max="10" width="12.28125" style="0" customWidth="1"/>
    <col min="11" max="11" width="11.7109375" style="0" customWidth="1"/>
    <col min="12" max="12" width="13.28125" style="0" customWidth="1"/>
  </cols>
  <sheetData>
    <row r="5" spans="3:4" ht="12.75">
      <c r="C5" s="1"/>
      <c r="D5" s="1"/>
    </row>
    <row r="6" spans="1:12" ht="12.75">
      <c r="A6" s="63"/>
      <c r="B6" s="69"/>
      <c r="C6" s="127" t="s">
        <v>56</v>
      </c>
      <c r="D6" s="65"/>
      <c r="E6" s="127" t="s">
        <v>55</v>
      </c>
      <c r="F6" s="65"/>
      <c r="G6" s="127" t="s">
        <v>54</v>
      </c>
      <c r="H6" s="65"/>
      <c r="I6" s="127" t="s">
        <v>53</v>
      </c>
      <c r="J6" s="65"/>
      <c r="K6" s="126" t="s">
        <v>52</v>
      </c>
      <c r="L6" s="29" t="s">
        <v>14</v>
      </c>
    </row>
    <row r="7" spans="1:12" ht="12.75">
      <c r="A7" s="66"/>
      <c r="B7" s="59" t="s">
        <v>6</v>
      </c>
      <c r="C7" s="102" t="s">
        <v>0</v>
      </c>
      <c r="D7" s="103" t="s">
        <v>1</v>
      </c>
      <c r="E7" s="66" t="s">
        <v>0</v>
      </c>
      <c r="F7" s="68" t="s">
        <v>1</v>
      </c>
      <c r="G7" s="66" t="s">
        <v>0</v>
      </c>
      <c r="H7" s="68" t="s">
        <v>1</v>
      </c>
      <c r="I7" s="66" t="s">
        <v>0</v>
      </c>
      <c r="J7" s="68" t="s">
        <v>1</v>
      </c>
      <c r="K7" s="67"/>
      <c r="L7" s="59"/>
    </row>
    <row r="8" spans="1:12" ht="12.75">
      <c r="A8" s="70" t="s">
        <v>4</v>
      </c>
      <c r="B8" s="69"/>
      <c r="C8" s="104">
        <v>323788</v>
      </c>
      <c r="D8" s="104">
        <v>823139</v>
      </c>
      <c r="E8" s="74">
        <v>465671</v>
      </c>
      <c r="F8" s="75">
        <v>1221953</v>
      </c>
      <c r="G8" s="71">
        <v>68904</v>
      </c>
      <c r="H8" s="71">
        <v>22405</v>
      </c>
      <c r="I8" s="74">
        <v>392706</v>
      </c>
      <c r="J8" s="75">
        <v>941900</v>
      </c>
      <c r="K8" s="64"/>
      <c r="L8" s="69"/>
    </row>
    <row r="9" spans="1:12" ht="12.75">
      <c r="A9" s="72"/>
      <c r="B9" s="59"/>
      <c r="C9" s="105"/>
      <c r="D9" s="105"/>
      <c r="E9" s="76"/>
      <c r="F9" s="77"/>
      <c r="G9" s="73"/>
      <c r="H9" s="73"/>
      <c r="I9" s="76"/>
      <c r="J9" s="77"/>
      <c r="K9" s="67"/>
      <c r="L9" s="59"/>
    </row>
    <row r="10" spans="1:12" ht="12.75">
      <c r="A10" s="78" t="s">
        <v>2</v>
      </c>
      <c r="B10" s="92"/>
      <c r="C10" s="106">
        <v>0</v>
      </c>
      <c r="D10" s="106">
        <v>0.03</v>
      </c>
      <c r="E10" s="113">
        <v>0</v>
      </c>
      <c r="F10" s="114">
        <v>0.03</v>
      </c>
      <c r="G10" s="80">
        <v>0</v>
      </c>
      <c r="H10" s="80">
        <v>0.03</v>
      </c>
      <c r="I10" s="95">
        <v>0</v>
      </c>
      <c r="J10" s="96">
        <v>1E-05</v>
      </c>
      <c r="K10" s="79"/>
      <c r="L10" s="92"/>
    </row>
    <row r="11" spans="1:12" ht="12.75">
      <c r="A11" s="81"/>
      <c r="B11" s="93">
        <f>0</f>
        <v>0</v>
      </c>
      <c r="C11" s="107"/>
      <c r="D11" s="107">
        <f>D8*D10</f>
        <v>24694.17</v>
      </c>
      <c r="E11" s="115"/>
      <c r="F11" s="116">
        <f>F8*F10</f>
        <v>36658.59</v>
      </c>
      <c r="G11" s="82"/>
      <c r="H11" s="82">
        <f>H8*H10</f>
        <v>672.15</v>
      </c>
      <c r="I11" s="85"/>
      <c r="J11" s="97">
        <f>J8*J10</f>
        <v>9.419</v>
      </c>
      <c r="K11" s="143">
        <f>SUM(B11:J11)</f>
        <v>62034.329</v>
      </c>
      <c r="L11" s="148">
        <f>(D19/10)*(1+9*(D20-D21)/((D20-D25)+(D25*D26)/100))</f>
        <v>52.81490286320437</v>
      </c>
    </row>
    <row r="12" spans="1:12" ht="12.75">
      <c r="A12" s="89" t="s">
        <v>3</v>
      </c>
      <c r="B12" s="94"/>
      <c r="C12" s="108">
        <v>0</v>
      </c>
      <c r="D12" s="108">
        <v>0.045</v>
      </c>
      <c r="E12" s="117">
        <v>0</v>
      </c>
      <c r="F12" s="118">
        <v>0.045</v>
      </c>
      <c r="G12" s="61">
        <v>0</v>
      </c>
      <c r="H12" s="61">
        <v>0.045</v>
      </c>
      <c r="I12" s="123">
        <v>0</v>
      </c>
      <c r="J12" s="124">
        <v>0</v>
      </c>
      <c r="K12" s="144"/>
      <c r="L12" s="131"/>
    </row>
    <row r="13" spans="1:12" ht="12.75">
      <c r="A13" s="90"/>
      <c r="B13" s="94">
        <f>24*(200+305)*2</f>
        <v>24240</v>
      </c>
      <c r="C13" s="109"/>
      <c r="D13" s="109">
        <f>D12*D8</f>
        <v>37041.255</v>
      </c>
      <c r="E13" s="119"/>
      <c r="F13" s="120">
        <f>F12*F8</f>
        <v>54987.884999999995</v>
      </c>
      <c r="G13" s="62"/>
      <c r="H13" s="62">
        <f>H12*H8</f>
        <v>1008.2249999999999</v>
      </c>
      <c r="I13" s="125"/>
      <c r="J13" s="91">
        <f>J12*J8</f>
        <v>0</v>
      </c>
      <c r="K13" s="144">
        <f>SUM(B13:J13)</f>
        <v>117277.36499999999</v>
      </c>
      <c r="L13" s="149">
        <f>(D19/10)*(1+9*(D20-D22)/((D20-D25)+(D25*D26)/100))</f>
        <v>44.41161376088053</v>
      </c>
    </row>
    <row r="14" spans="1:12" ht="12.75">
      <c r="A14" s="78" t="s">
        <v>5</v>
      </c>
      <c r="B14" s="92"/>
      <c r="C14" s="106">
        <v>0</v>
      </c>
      <c r="D14" s="106">
        <v>0.0294</v>
      </c>
      <c r="E14" s="113">
        <v>0.036</v>
      </c>
      <c r="F14" s="114">
        <v>0.051</v>
      </c>
      <c r="G14" s="80">
        <v>0.036</v>
      </c>
      <c r="H14" s="80">
        <v>0.042</v>
      </c>
      <c r="I14" s="95">
        <v>0</v>
      </c>
      <c r="J14" s="96">
        <v>0</v>
      </c>
      <c r="K14" s="145"/>
      <c r="L14" s="129"/>
    </row>
    <row r="15" spans="1:12" ht="12.75">
      <c r="A15" s="85"/>
      <c r="B15" s="93">
        <v>0</v>
      </c>
      <c r="C15" s="110"/>
      <c r="D15" s="110">
        <f>D14*D8</f>
        <v>24200.2866</v>
      </c>
      <c r="E15" s="121">
        <f>E14*E8</f>
        <v>16764.156</v>
      </c>
      <c r="F15" s="122">
        <f>F14*F8</f>
        <v>62319.602999999996</v>
      </c>
      <c r="G15" s="83">
        <f>G14*G8</f>
        <v>2480.544</v>
      </c>
      <c r="H15" s="83">
        <f>H14*H8</f>
        <v>941.0100000000001</v>
      </c>
      <c r="I15" s="101">
        <v>0</v>
      </c>
      <c r="J15" s="84">
        <v>0</v>
      </c>
      <c r="K15" s="143">
        <f>SUM(D15:J15)</f>
        <v>106705.59959999997</v>
      </c>
      <c r="L15" s="148">
        <f>(D19/10)*(L261+9*(D20-D23)/((D20-D25)+(D25*D26)/100))</f>
        <v>40.519736836848764</v>
      </c>
    </row>
    <row r="16" spans="1:12" ht="12.75">
      <c r="A16" s="70" t="s">
        <v>26</v>
      </c>
      <c r="B16" s="69"/>
      <c r="C16" s="111"/>
      <c r="D16" s="111">
        <v>0.021</v>
      </c>
      <c r="E16" s="117">
        <v>0.0264</v>
      </c>
      <c r="F16" s="118">
        <v>0.0374</v>
      </c>
      <c r="G16" s="86">
        <v>0.018</v>
      </c>
      <c r="H16" s="86">
        <v>0.021</v>
      </c>
      <c r="I16" s="98">
        <v>0</v>
      </c>
      <c r="J16" s="99">
        <v>0</v>
      </c>
      <c r="K16" s="146"/>
      <c r="L16" s="150"/>
    </row>
    <row r="17" spans="1:12" ht="12.75">
      <c r="A17" s="66"/>
      <c r="B17" s="59">
        <v>0</v>
      </c>
      <c r="C17" s="112"/>
      <c r="D17" s="112">
        <f>D16*D8</f>
        <v>17285.919</v>
      </c>
      <c r="E17" s="119">
        <f>E16*E8</f>
        <v>12293.7144</v>
      </c>
      <c r="F17" s="120">
        <f>F16*F8</f>
        <v>45701.0422</v>
      </c>
      <c r="G17" s="87">
        <f>G16*G8</f>
        <v>1240.272</v>
      </c>
      <c r="H17" s="87">
        <f>H16*H8</f>
        <v>470.50500000000005</v>
      </c>
      <c r="I17" s="100">
        <v>0</v>
      </c>
      <c r="J17" s="88">
        <v>0</v>
      </c>
      <c r="K17" s="147">
        <f>SUM(D17:J17)</f>
        <v>76991.4526</v>
      </c>
      <c r="L17" s="151">
        <f>(D19/10)*(1+9*(D20-D24)/((D20-D27)+(D27*D26)/100))</f>
        <v>49.304782550858135</v>
      </c>
    </row>
    <row r="19" spans="3:4" ht="12.75">
      <c r="C19" s="58" t="s">
        <v>7</v>
      </c>
      <c r="D19" s="58">
        <v>55</v>
      </c>
    </row>
    <row r="20" spans="3:11" ht="12.75">
      <c r="C20" s="58" t="s">
        <v>8</v>
      </c>
      <c r="D20" s="58">
        <v>373081.45</v>
      </c>
      <c r="K20" s="8"/>
    </row>
    <row r="21" spans="3:4" ht="12.75">
      <c r="C21" s="58" t="s">
        <v>9</v>
      </c>
      <c r="D21" s="60">
        <f>K11</f>
        <v>62034.329</v>
      </c>
    </row>
    <row r="22" spans="3:4" ht="12.75">
      <c r="C22" s="58" t="s">
        <v>10</v>
      </c>
      <c r="D22" s="60">
        <f>K13</f>
        <v>117277.36499999999</v>
      </c>
    </row>
    <row r="23" spans="3:4" ht="12.75">
      <c r="C23" s="58" t="s">
        <v>11</v>
      </c>
      <c r="D23" s="60">
        <f>K15</f>
        <v>106705.59959999997</v>
      </c>
    </row>
    <row r="24" spans="3:4" ht="12.75">
      <c r="C24" s="58" t="s">
        <v>27</v>
      </c>
      <c r="D24" s="60">
        <f>K17</f>
        <v>76991.4526</v>
      </c>
    </row>
    <row r="25" spans="3:4" ht="12.75">
      <c r="C25" s="58" t="s">
        <v>50</v>
      </c>
      <c r="D25" s="60">
        <f>(D21+D22+D23)/3</f>
        <v>95339.09786666666</v>
      </c>
    </row>
    <row r="26" spans="3:4" ht="12.75">
      <c r="C26" s="58" t="s">
        <v>13</v>
      </c>
      <c r="D26" s="58">
        <v>50</v>
      </c>
    </row>
    <row r="27" spans="3:4" ht="12.75">
      <c r="C27" s="58" t="s">
        <v>46</v>
      </c>
      <c r="D27" s="60">
        <f>D24</f>
        <v>76991.4526</v>
      </c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1"/>
  <sheetViews>
    <sheetView zoomScalePageLayoutView="0" workbookViewId="0" topLeftCell="B1">
      <selection activeCell="H15" sqref="H15"/>
    </sheetView>
  </sheetViews>
  <sheetFormatPr defaultColWidth="11.421875" defaultRowHeight="12.75"/>
  <cols>
    <col min="1" max="1" width="31.140625" style="0" customWidth="1"/>
    <col min="2" max="2" width="18.8515625" style="0" customWidth="1"/>
    <col min="3" max="3" width="16.28125" style="0" customWidth="1"/>
    <col min="4" max="4" width="18.57421875" style="0" customWidth="1"/>
    <col min="5" max="5" width="17.28125" style="0" customWidth="1"/>
    <col min="6" max="6" width="18.140625" style="0" customWidth="1"/>
    <col min="7" max="7" width="19.140625" style="0" customWidth="1"/>
    <col min="11" max="11" width="16.140625" style="0" customWidth="1"/>
  </cols>
  <sheetData>
    <row r="4" spans="1:11" ht="12.75">
      <c r="A4" s="40" t="s">
        <v>51</v>
      </c>
      <c r="B4" s="13" t="s">
        <v>15</v>
      </c>
      <c r="C4" s="14"/>
      <c r="D4" s="13" t="s">
        <v>47</v>
      </c>
      <c r="E4" s="51"/>
      <c r="F4" s="51"/>
      <c r="G4" s="14"/>
      <c r="H4" s="13" t="s">
        <v>57</v>
      </c>
      <c r="I4" s="52"/>
      <c r="J4" s="20"/>
      <c r="K4" s="10" t="s">
        <v>21</v>
      </c>
    </row>
    <row r="5" spans="1:11" ht="12.75">
      <c r="A5" s="3"/>
      <c r="B5" s="38"/>
      <c r="C5" s="37"/>
      <c r="D5" s="37"/>
      <c r="E5" s="37"/>
      <c r="F5" s="37"/>
      <c r="G5" s="37"/>
      <c r="H5" s="37"/>
      <c r="I5" s="37"/>
      <c r="J5" s="37"/>
      <c r="K5" s="34"/>
    </row>
    <row r="6" spans="1:11" ht="12.75">
      <c r="A6" s="3" t="s">
        <v>16</v>
      </c>
      <c r="B6" s="16">
        <v>4</v>
      </c>
      <c r="C6" s="4">
        <v>1</v>
      </c>
      <c r="D6" s="4">
        <v>2</v>
      </c>
      <c r="E6" s="4">
        <v>2</v>
      </c>
      <c r="F6" s="4">
        <v>2</v>
      </c>
      <c r="G6" s="4">
        <v>1</v>
      </c>
      <c r="H6" s="4">
        <v>1</v>
      </c>
      <c r="I6" s="4">
        <v>1</v>
      </c>
      <c r="J6" s="4">
        <v>1</v>
      </c>
      <c r="K6" s="34"/>
    </row>
    <row r="7" spans="1:11" ht="12.75">
      <c r="A7" s="3" t="s">
        <v>18</v>
      </c>
      <c r="B7" s="17">
        <v>0.025</v>
      </c>
      <c r="C7" s="7">
        <v>0.15</v>
      </c>
      <c r="D7" s="7">
        <v>0.75</v>
      </c>
      <c r="E7" s="7">
        <v>1.25</v>
      </c>
      <c r="F7" s="7">
        <v>1.5</v>
      </c>
      <c r="G7" s="7">
        <v>5</v>
      </c>
      <c r="H7" s="4">
        <v>0.7</v>
      </c>
      <c r="I7" s="4">
        <v>0.9</v>
      </c>
      <c r="J7" s="4">
        <v>1.2</v>
      </c>
      <c r="K7" s="34"/>
    </row>
    <row r="8" spans="1:11" ht="12.75">
      <c r="A8" s="9" t="s">
        <v>19</v>
      </c>
      <c r="B8" s="16">
        <v>500</v>
      </c>
      <c r="C8" s="4">
        <v>1000</v>
      </c>
      <c r="D8" s="4">
        <v>150</v>
      </c>
      <c r="E8" s="4">
        <v>300</v>
      </c>
      <c r="F8" s="4">
        <v>500</v>
      </c>
      <c r="G8" s="4">
        <v>1000</v>
      </c>
      <c r="H8" s="4">
        <v>150</v>
      </c>
      <c r="I8" s="4">
        <v>500</v>
      </c>
      <c r="J8" s="4">
        <v>1000</v>
      </c>
      <c r="K8" s="34"/>
    </row>
    <row r="9" spans="1:11" ht="12.75">
      <c r="A9" s="9" t="s">
        <v>20</v>
      </c>
      <c r="B9" s="16">
        <v>1</v>
      </c>
      <c r="C9" s="4">
        <v>1.5</v>
      </c>
      <c r="D9" s="4">
        <v>15</v>
      </c>
      <c r="E9" s="4">
        <v>25</v>
      </c>
      <c r="F9" s="4">
        <v>30</v>
      </c>
      <c r="G9" s="4">
        <v>50</v>
      </c>
      <c r="H9" s="4">
        <v>7</v>
      </c>
      <c r="I9" s="4">
        <v>9</v>
      </c>
      <c r="J9" s="4">
        <v>12</v>
      </c>
      <c r="K9" s="34"/>
    </row>
    <row r="10" spans="1:11" ht="12.75">
      <c r="A10" s="40" t="s">
        <v>2</v>
      </c>
      <c r="B10" s="18"/>
      <c r="C10" s="6"/>
      <c r="D10" s="6"/>
      <c r="E10" s="6"/>
      <c r="F10" s="6"/>
      <c r="G10" s="6"/>
      <c r="H10" s="5"/>
      <c r="I10" s="5"/>
      <c r="J10" s="5"/>
      <c r="K10" s="35"/>
    </row>
    <row r="11" spans="1:11" ht="12.75">
      <c r="A11" s="41" t="s">
        <v>17</v>
      </c>
      <c r="B11" s="18">
        <v>0</v>
      </c>
      <c r="C11" s="6">
        <v>0</v>
      </c>
      <c r="D11" s="6">
        <v>4.5</v>
      </c>
      <c r="E11" s="6">
        <v>9</v>
      </c>
      <c r="F11" s="6">
        <v>15</v>
      </c>
      <c r="G11" s="6">
        <v>30</v>
      </c>
      <c r="H11" s="6">
        <v>7</v>
      </c>
      <c r="I11" s="6">
        <v>9</v>
      </c>
      <c r="J11" s="6">
        <v>12</v>
      </c>
      <c r="K11" s="35"/>
    </row>
    <row r="12" spans="1:11" ht="12.75">
      <c r="A12" s="42" t="s">
        <v>14</v>
      </c>
      <c r="B12" s="18">
        <f>(B9-B11)/B7*0.1</f>
        <v>4</v>
      </c>
      <c r="C12" s="6">
        <f aca="true" t="shared" si="0" ref="C12:J12">(C9-C11)/C7*0.1</f>
        <v>1</v>
      </c>
      <c r="D12" s="6">
        <f t="shared" si="0"/>
        <v>1.4000000000000001</v>
      </c>
      <c r="E12" s="6">
        <f t="shared" si="0"/>
        <v>1.2800000000000002</v>
      </c>
      <c r="F12" s="6">
        <f t="shared" si="0"/>
        <v>1</v>
      </c>
      <c r="G12" s="6">
        <f t="shared" si="0"/>
        <v>0.4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140">
        <f>SUM(B12:J12)</f>
        <v>9.08</v>
      </c>
    </row>
    <row r="13" spans="1:11" ht="12.75">
      <c r="A13" s="43" t="s">
        <v>3</v>
      </c>
      <c r="B13" s="16"/>
      <c r="C13" s="4"/>
      <c r="D13" s="4"/>
      <c r="E13" s="4"/>
      <c r="F13" s="4"/>
      <c r="G13" s="4"/>
      <c r="H13" s="4"/>
      <c r="I13" s="4"/>
      <c r="J13" s="4"/>
      <c r="K13" s="141"/>
    </row>
    <row r="14" spans="1:11" ht="12.75">
      <c r="A14" s="44" t="s">
        <v>17</v>
      </c>
      <c r="B14" s="19">
        <v>0</v>
      </c>
      <c r="C14" s="12">
        <v>0</v>
      </c>
      <c r="D14" s="12">
        <v>9</v>
      </c>
      <c r="E14" s="12">
        <v>13.5</v>
      </c>
      <c r="F14" s="12">
        <v>22.5</v>
      </c>
      <c r="G14" s="12">
        <v>45</v>
      </c>
      <c r="H14" s="12">
        <v>6</v>
      </c>
      <c r="I14" s="12">
        <v>7.5</v>
      </c>
      <c r="J14" s="12">
        <v>9.5</v>
      </c>
      <c r="K14" s="141"/>
    </row>
    <row r="15" spans="1:11" ht="12.75">
      <c r="A15" s="45" t="s">
        <v>14</v>
      </c>
      <c r="B15" s="16">
        <f aca="true" t="shared" si="1" ref="B15:J15">(B9-B14)/B7*0.1</f>
        <v>4</v>
      </c>
      <c r="C15" s="4">
        <f t="shared" si="1"/>
        <v>1</v>
      </c>
      <c r="D15" s="4">
        <f t="shared" si="1"/>
        <v>0.8</v>
      </c>
      <c r="E15" s="4">
        <f t="shared" si="1"/>
        <v>0.9199999999999999</v>
      </c>
      <c r="F15" s="4">
        <f t="shared" si="1"/>
        <v>0.5</v>
      </c>
      <c r="G15" s="4">
        <f t="shared" si="1"/>
        <v>0.1</v>
      </c>
      <c r="H15" s="12">
        <f t="shared" si="1"/>
        <v>0.14285714285714288</v>
      </c>
      <c r="I15" s="12">
        <f t="shared" si="1"/>
        <v>0.16666666666666666</v>
      </c>
      <c r="J15" s="12">
        <f t="shared" si="1"/>
        <v>0.20833333333333337</v>
      </c>
      <c r="K15" s="141">
        <f>SUM(B15:J15)</f>
        <v>7.837857142857143</v>
      </c>
    </row>
    <row r="16" spans="1:11" ht="12.75">
      <c r="A16" s="40" t="s">
        <v>5</v>
      </c>
      <c r="B16" s="18"/>
      <c r="C16" s="6"/>
      <c r="D16" s="6"/>
      <c r="E16" s="6"/>
      <c r="F16" s="6"/>
      <c r="G16" s="6"/>
      <c r="H16" s="6"/>
      <c r="I16" s="6"/>
      <c r="J16" s="6"/>
      <c r="K16" s="140"/>
    </row>
    <row r="17" spans="1:11" ht="12.75">
      <c r="A17" s="46" t="s">
        <v>17</v>
      </c>
      <c r="B17" s="25">
        <v>0</v>
      </c>
      <c r="C17" s="24">
        <v>0</v>
      </c>
      <c r="D17" s="24">
        <v>9</v>
      </c>
      <c r="E17" s="24">
        <v>13.75</v>
      </c>
      <c r="F17" s="24">
        <v>14.25</v>
      </c>
      <c r="G17" s="24">
        <v>20</v>
      </c>
      <c r="H17" s="24">
        <v>6.3</v>
      </c>
      <c r="I17" s="24">
        <v>8.1</v>
      </c>
      <c r="J17" s="24">
        <v>10.8</v>
      </c>
      <c r="K17" s="140"/>
    </row>
    <row r="18" spans="1:11" ht="12.75">
      <c r="A18" s="47" t="s">
        <v>14</v>
      </c>
      <c r="B18" s="18">
        <f>(B9-B17)/B7*0.1</f>
        <v>4</v>
      </c>
      <c r="C18" s="6">
        <f>(C9-C17)/C7*0.1</f>
        <v>1</v>
      </c>
      <c r="D18" s="6">
        <f aca="true" t="shared" si="2" ref="D18:J18">(D9-D17)/D7*0.1</f>
        <v>0.8</v>
      </c>
      <c r="E18" s="6">
        <f t="shared" si="2"/>
        <v>0.9</v>
      </c>
      <c r="F18" s="6">
        <f t="shared" si="2"/>
        <v>1.05</v>
      </c>
      <c r="G18" s="6">
        <f t="shared" si="2"/>
        <v>0.6000000000000001</v>
      </c>
      <c r="H18" s="6">
        <f t="shared" si="2"/>
        <v>0.10000000000000003</v>
      </c>
      <c r="I18" s="6">
        <f t="shared" si="2"/>
        <v>0.10000000000000005</v>
      </c>
      <c r="J18" s="6">
        <f t="shared" si="2"/>
        <v>0.09999999999999995</v>
      </c>
      <c r="K18" s="140">
        <f>SUM(B18:J18)</f>
        <v>8.649999999999999</v>
      </c>
    </row>
    <row r="19" spans="1:11" ht="12.75">
      <c r="A19" s="48" t="s">
        <v>26</v>
      </c>
      <c r="B19" s="15"/>
      <c r="C19" s="3"/>
      <c r="D19" s="3"/>
      <c r="E19" s="3"/>
      <c r="F19" s="3"/>
      <c r="G19" s="3"/>
      <c r="H19" s="3"/>
      <c r="I19" s="3"/>
      <c r="J19" s="3"/>
      <c r="K19" s="142"/>
    </row>
    <row r="20" spans="1:11" ht="12.75">
      <c r="A20" s="49" t="s">
        <v>17</v>
      </c>
      <c r="B20" s="39">
        <v>0</v>
      </c>
      <c r="C20" s="28">
        <v>0</v>
      </c>
      <c r="D20" s="31">
        <v>9</v>
      </c>
      <c r="E20" s="31">
        <v>13.75</v>
      </c>
      <c r="F20" s="31">
        <v>14.25</v>
      </c>
      <c r="G20" s="31">
        <v>20</v>
      </c>
      <c r="H20" s="31">
        <v>6.3</v>
      </c>
      <c r="I20" s="31">
        <v>8.1</v>
      </c>
      <c r="J20" s="31">
        <v>10.8</v>
      </c>
      <c r="K20" s="142"/>
    </row>
    <row r="21" spans="1:11" ht="12.75">
      <c r="A21" s="50" t="s">
        <v>14</v>
      </c>
      <c r="B21" s="16">
        <v>4</v>
      </c>
      <c r="C21" s="4">
        <v>1</v>
      </c>
      <c r="D21" s="36">
        <f aca="true" t="shared" si="3" ref="D21:J21">(D9-D20)/D7*0.1</f>
        <v>0.8</v>
      </c>
      <c r="E21" s="36">
        <f t="shared" si="3"/>
        <v>0.9</v>
      </c>
      <c r="F21" s="36">
        <f t="shared" si="3"/>
        <v>1.05</v>
      </c>
      <c r="G21" s="36">
        <f t="shared" si="3"/>
        <v>0.6000000000000001</v>
      </c>
      <c r="H21" s="36">
        <f t="shared" si="3"/>
        <v>0.10000000000000003</v>
      </c>
      <c r="I21" s="36">
        <f t="shared" si="3"/>
        <v>0.10000000000000005</v>
      </c>
      <c r="J21" s="36">
        <f t="shared" si="3"/>
        <v>0.09999999999999995</v>
      </c>
      <c r="K21" s="142">
        <f>SUM(B21:J21)</f>
        <v>8.649999999999999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16"/>
  <sheetViews>
    <sheetView zoomScalePageLayoutView="0" workbookViewId="0" topLeftCell="A1">
      <selection activeCell="A7" sqref="A7:E16"/>
    </sheetView>
  </sheetViews>
  <sheetFormatPr defaultColWidth="11.421875" defaultRowHeight="12.75"/>
  <cols>
    <col min="1" max="1" width="23.7109375" style="0" customWidth="1"/>
    <col min="2" max="2" width="23.421875" style="0" customWidth="1"/>
    <col min="3" max="3" width="17.00390625" style="0" customWidth="1"/>
    <col min="4" max="4" width="16.00390625" style="0" customWidth="1"/>
  </cols>
  <sheetData>
    <row r="7" spans="1:5" ht="12.75">
      <c r="A7" s="26" t="s">
        <v>48</v>
      </c>
      <c r="B7" s="10" t="s">
        <v>22</v>
      </c>
      <c r="C7" s="10" t="s">
        <v>23</v>
      </c>
      <c r="D7" s="10" t="s">
        <v>24</v>
      </c>
      <c r="E7" s="26" t="s">
        <v>25</v>
      </c>
    </row>
    <row r="8" spans="1:5" ht="12.75">
      <c r="A8" s="26"/>
      <c r="B8" s="156" t="s">
        <v>77</v>
      </c>
      <c r="C8" s="156" t="s">
        <v>75</v>
      </c>
      <c r="D8" s="156" t="s">
        <v>76</v>
      </c>
      <c r="E8" s="26"/>
    </row>
    <row r="9" spans="1:5" ht="12.75">
      <c r="A9" s="53"/>
      <c r="B9" s="55"/>
      <c r="C9" s="55"/>
      <c r="D9" s="55"/>
      <c r="E9" s="53"/>
    </row>
    <row r="10" spans="1:6" ht="12.75">
      <c r="A10" s="26" t="s">
        <v>2</v>
      </c>
      <c r="B10" s="6">
        <v>12</v>
      </c>
      <c r="C10" s="56">
        <f>Valoración_Tráfico_Lote_1_movil!L11</f>
        <v>52.81490286320437</v>
      </c>
      <c r="D10" s="24">
        <f>'Val_Bonos voz-Datos_lote_1'!K12</f>
        <v>9.08</v>
      </c>
      <c r="E10" s="140">
        <f>SUM(B10:D10)</f>
        <v>73.89490286320436</v>
      </c>
      <c r="F10" s="32"/>
    </row>
    <row r="11" spans="1:5" ht="12.75">
      <c r="A11" s="53"/>
      <c r="B11" s="54"/>
      <c r="C11" s="54"/>
      <c r="D11" s="54"/>
      <c r="E11" s="152"/>
    </row>
    <row r="12" spans="1:5" ht="12.75">
      <c r="A12" s="26" t="s">
        <v>3</v>
      </c>
      <c r="B12" s="6">
        <v>21</v>
      </c>
      <c r="C12" s="56">
        <f>Valoración_Tráfico_Lote_1_movil!L13</f>
        <v>44.41161376088053</v>
      </c>
      <c r="D12" s="24">
        <f>'Val_Bonos voz-Datos_lote_1'!K15</f>
        <v>7.837857142857143</v>
      </c>
      <c r="E12" s="140">
        <f>SUM(B12:D12)</f>
        <v>73.24947090373767</v>
      </c>
    </row>
    <row r="13" spans="1:5" ht="12.75">
      <c r="A13" s="53"/>
      <c r="B13" s="54"/>
      <c r="C13" s="54"/>
      <c r="D13" s="54"/>
      <c r="E13" s="152"/>
    </row>
    <row r="14" spans="1:5" ht="12.75">
      <c r="A14" s="26" t="s">
        <v>5</v>
      </c>
      <c r="B14" s="6">
        <v>17</v>
      </c>
      <c r="C14" s="56">
        <f>Valoración_Tráfico_Lote_1_movil!L15</f>
        <v>40.519736836848764</v>
      </c>
      <c r="D14" s="24">
        <f>'Val_Bonos voz-Datos_lote_1'!K18</f>
        <v>8.649999999999999</v>
      </c>
      <c r="E14" s="140">
        <f>B14+C14+D14</f>
        <v>66.16973683684876</v>
      </c>
    </row>
    <row r="15" spans="1:5" ht="12.75">
      <c r="A15" s="11"/>
      <c r="B15" s="11"/>
      <c r="C15" s="11"/>
      <c r="D15" s="11"/>
      <c r="E15" s="152"/>
    </row>
    <row r="16" spans="1:5" ht="12.75">
      <c r="A16" s="26" t="s">
        <v>28</v>
      </c>
      <c r="B16" s="6">
        <v>17</v>
      </c>
      <c r="C16" s="56">
        <f>Valoración_Tráfico_Lote_1_movil!L17</f>
        <v>49.304782550858135</v>
      </c>
      <c r="D16" s="24">
        <f>D14</f>
        <v>8.649999999999999</v>
      </c>
      <c r="E16" s="140">
        <f>B16+C16+D16</f>
        <v>74.95478255085814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25"/>
  <sheetViews>
    <sheetView zoomScalePageLayoutView="0" workbookViewId="0" topLeftCell="B1">
      <selection activeCell="H23" sqref="H23"/>
    </sheetView>
  </sheetViews>
  <sheetFormatPr defaultColWidth="11.421875" defaultRowHeight="12.75"/>
  <cols>
    <col min="1" max="1" width="20.140625" style="0" customWidth="1"/>
    <col min="2" max="2" width="23.7109375" style="0" customWidth="1"/>
    <col min="3" max="3" width="12.00390625" style="0" customWidth="1"/>
    <col min="4" max="4" width="24.00390625" style="0" customWidth="1"/>
  </cols>
  <sheetData>
    <row r="4" spans="1:13" ht="12.75">
      <c r="A4" s="22" t="s">
        <v>49</v>
      </c>
      <c r="B4" s="5"/>
      <c r="C4" s="5"/>
      <c r="D4" s="22" t="s">
        <v>61</v>
      </c>
      <c r="E4" s="5"/>
      <c r="F4" s="22" t="s">
        <v>60</v>
      </c>
      <c r="G4" s="5"/>
      <c r="H4" s="22" t="s">
        <v>59</v>
      </c>
      <c r="I4" s="5"/>
      <c r="J4" s="22" t="s">
        <v>58</v>
      </c>
      <c r="K4" s="5"/>
      <c r="L4" s="27" t="s">
        <v>52</v>
      </c>
      <c r="M4" s="6" t="s">
        <v>14</v>
      </c>
    </row>
    <row r="5" spans="1:13" ht="12.75">
      <c r="A5" s="5"/>
      <c r="B5" s="5" t="s">
        <v>6</v>
      </c>
      <c r="C5" s="5" t="s">
        <v>29</v>
      </c>
      <c r="D5" s="5" t="s">
        <v>0</v>
      </c>
      <c r="E5" s="5" t="s">
        <v>30</v>
      </c>
      <c r="F5" s="5" t="s">
        <v>0</v>
      </c>
      <c r="G5" s="5" t="s">
        <v>30</v>
      </c>
      <c r="H5" s="5" t="s">
        <v>0</v>
      </c>
      <c r="I5" s="5" t="s">
        <v>30</v>
      </c>
      <c r="J5" s="5" t="s">
        <v>0</v>
      </c>
      <c r="K5" s="5" t="s">
        <v>30</v>
      </c>
      <c r="L5" s="5"/>
      <c r="M5" s="5"/>
    </row>
    <row r="6" spans="1:13" ht="12.75">
      <c r="A6" s="55" t="s">
        <v>4</v>
      </c>
      <c r="B6" s="11"/>
      <c r="C6" s="11"/>
      <c r="D6" s="128">
        <v>463219</v>
      </c>
      <c r="E6" s="128">
        <v>19047</v>
      </c>
      <c r="F6" s="128">
        <v>71372</v>
      </c>
      <c r="G6" s="128">
        <v>3094</v>
      </c>
      <c r="H6" s="128">
        <v>97576</v>
      </c>
      <c r="I6" s="128">
        <v>6007</v>
      </c>
      <c r="J6" s="128">
        <v>11312</v>
      </c>
      <c r="K6" s="128">
        <v>1900</v>
      </c>
      <c r="L6" s="11"/>
      <c r="M6" s="11"/>
    </row>
    <row r="7" spans="1:13" ht="12.75">
      <c r="A7" s="129"/>
      <c r="B7" s="130"/>
      <c r="C7" s="11"/>
      <c r="D7" s="128"/>
      <c r="E7" s="128"/>
      <c r="F7" s="128"/>
      <c r="G7" s="128"/>
      <c r="H7" s="128"/>
      <c r="I7" s="128"/>
      <c r="J7" s="128"/>
      <c r="K7" s="128"/>
      <c r="L7" s="11"/>
      <c r="M7" s="11"/>
    </row>
    <row r="8" spans="1:13" ht="12.75">
      <c r="A8" s="131" t="s">
        <v>5</v>
      </c>
      <c r="B8" s="20"/>
      <c r="C8" s="5"/>
      <c r="D8" s="132">
        <v>0</v>
      </c>
      <c r="E8" s="132">
        <v>0.008224</v>
      </c>
      <c r="F8" s="132">
        <v>0</v>
      </c>
      <c r="G8" s="132">
        <v>0.011122</v>
      </c>
      <c r="H8" s="132">
        <v>0</v>
      </c>
      <c r="I8" s="132">
        <v>0.011879</v>
      </c>
      <c r="J8" s="132">
        <v>0</v>
      </c>
      <c r="K8" s="132">
        <f>B25</f>
        <v>0.05939022000000001</v>
      </c>
      <c r="L8" s="57"/>
      <c r="M8" s="5"/>
    </row>
    <row r="9" spans="1:13" ht="12.75">
      <c r="A9" s="94"/>
      <c r="B9" s="133">
        <f>2192.92*12*2</f>
        <v>52630.08</v>
      </c>
      <c r="C9" s="57">
        <f>7.6*12*2</f>
        <v>182.39999999999998</v>
      </c>
      <c r="D9" s="57"/>
      <c r="E9" s="57">
        <f>E6*60*E8</f>
        <v>9398.55168</v>
      </c>
      <c r="F9" s="57"/>
      <c r="G9" s="57">
        <f>G6*60*G8</f>
        <v>2064.68808</v>
      </c>
      <c r="H9" s="57"/>
      <c r="I9" s="57">
        <f>I6*60*I8</f>
        <v>4281.42918</v>
      </c>
      <c r="J9" s="57"/>
      <c r="K9" s="57">
        <f>K6*60*K8</f>
        <v>6770.485080000001</v>
      </c>
      <c r="L9" s="57">
        <f>SUM(B9:K9)</f>
        <v>75327.63402</v>
      </c>
      <c r="M9" s="153">
        <f>(E13/10)*(1+9*((E14-E15)/(E14-E17+(E17*50/100))))</f>
        <v>41.05481243519512</v>
      </c>
    </row>
    <row r="10" spans="1:13" ht="12.75">
      <c r="A10" s="129" t="s">
        <v>26</v>
      </c>
      <c r="B10" s="130"/>
      <c r="C10" s="130"/>
      <c r="D10" s="130">
        <f aca="true" t="shared" si="0" ref="D10:K10">D8</f>
        <v>0</v>
      </c>
      <c r="E10" s="130">
        <f t="shared" si="0"/>
        <v>0.008224</v>
      </c>
      <c r="F10" s="130">
        <f t="shared" si="0"/>
        <v>0</v>
      </c>
      <c r="G10" s="130">
        <f t="shared" si="0"/>
        <v>0.011122</v>
      </c>
      <c r="H10" s="130">
        <f t="shared" si="0"/>
        <v>0</v>
      </c>
      <c r="I10" s="130">
        <f t="shared" si="0"/>
        <v>0.011879</v>
      </c>
      <c r="J10" s="130">
        <f t="shared" si="0"/>
        <v>0</v>
      </c>
      <c r="K10" s="130">
        <f t="shared" si="0"/>
        <v>0.05939022000000001</v>
      </c>
      <c r="L10" s="130"/>
      <c r="M10" s="154"/>
    </row>
    <row r="11" spans="1:13" ht="12.75">
      <c r="A11" s="93"/>
      <c r="B11" s="134">
        <f>B9</f>
        <v>52630.08</v>
      </c>
      <c r="C11" s="134">
        <f>C9</f>
        <v>182.39999999999998</v>
      </c>
      <c r="D11" s="134"/>
      <c r="E11" s="134">
        <f>E9</f>
        <v>9398.55168</v>
      </c>
      <c r="F11" s="134"/>
      <c r="G11" s="134">
        <f>G9</f>
        <v>2064.68808</v>
      </c>
      <c r="H11" s="134"/>
      <c r="I11" s="134">
        <f>I9</f>
        <v>4281.42918</v>
      </c>
      <c r="J11" s="134"/>
      <c r="K11" s="134">
        <f>K9</f>
        <v>6770.485080000001</v>
      </c>
      <c r="L11" s="134">
        <f>L9</f>
        <v>75327.63402</v>
      </c>
      <c r="M11" s="155">
        <f>M9</f>
        <v>41.05481243519512</v>
      </c>
    </row>
    <row r="13" spans="1:5" ht="12.75">
      <c r="A13" s="8" t="s">
        <v>31</v>
      </c>
      <c r="B13" s="33">
        <v>0.020966</v>
      </c>
      <c r="D13" t="s">
        <v>7</v>
      </c>
      <c r="E13">
        <v>55</v>
      </c>
    </row>
    <row r="14" spans="1:5" ht="12.75">
      <c r="A14" s="8" t="s">
        <v>32</v>
      </c>
      <c r="B14" s="33">
        <v>0.061258</v>
      </c>
      <c r="D14" t="s">
        <v>8</v>
      </c>
      <c r="E14">
        <v>171355.74</v>
      </c>
    </row>
    <row r="15" spans="1:5" ht="12.75">
      <c r="A15" s="8" t="s">
        <v>33</v>
      </c>
      <c r="B15" s="33">
        <v>0.114852</v>
      </c>
      <c r="D15" t="s">
        <v>11</v>
      </c>
      <c r="E15" s="2">
        <f>L9</f>
        <v>75327.63402</v>
      </c>
    </row>
    <row r="16" spans="1:5" ht="12.75">
      <c r="A16" s="8" t="s">
        <v>34</v>
      </c>
      <c r="B16" s="33">
        <v>0.132279</v>
      </c>
      <c r="D16" s="8" t="s">
        <v>27</v>
      </c>
      <c r="E16" s="2">
        <f>L11</f>
        <v>75327.63402</v>
      </c>
    </row>
    <row r="17" spans="1:5" ht="12.75">
      <c r="A17" s="8" t="s">
        <v>35</v>
      </c>
      <c r="B17" s="33">
        <v>0.0547</v>
      </c>
      <c r="D17" t="s">
        <v>12</v>
      </c>
      <c r="E17" s="2">
        <f>L9</f>
        <v>75327.63402</v>
      </c>
    </row>
    <row r="18" spans="1:5" ht="12.75">
      <c r="A18" s="8" t="s">
        <v>36</v>
      </c>
      <c r="B18" s="33">
        <v>0.137191</v>
      </c>
      <c r="D18" t="s">
        <v>13</v>
      </c>
      <c r="E18">
        <v>50</v>
      </c>
    </row>
    <row r="19" spans="1:2" ht="12.75">
      <c r="A19" s="8"/>
      <c r="B19" s="33"/>
    </row>
    <row r="20" spans="1:2" ht="12.75">
      <c r="A20" s="8" t="s">
        <v>37</v>
      </c>
      <c r="B20" s="33">
        <f>0.43*B13+0.245*B15+0.02*B14+0.005*B16</f>
        <v>0.039040675000000004</v>
      </c>
    </row>
    <row r="21" spans="1:2" ht="12.75">
      <c r="A21" s="8" t="s">
        <v>38</v>
      </c>
      <c r="B21" s="33">
        <f>0.02*(B15+B14+B17+B18+B16)</f>
        <v>0.010005600000000002</v>
      </c>
    </row>
    <row r="22" spans="1:2" ht="12.75">
      <c r="A22" s="8" t="s">
        <v>39</v>
      </c>
      <c r="B22">
        <f>0.035*B13+0.005*B16+0.03*B17+0.03*B14</f>
        <v>0.004873945</v>
      </c>
    </row>
    <row r="23" spans="1:2" ht="12.75">
      <c r="A23" s="8" t="s">
        <v>40</v>
      </c>
      <c r="B23">
        <f>0.1*B17</f>
        <v>0.00547</v>
      </c>
    </row>
    <row r="25" ht="12.75">
      <c r="B25" s="33">
        <f>SUM(B20:B24)</f>
        <v>0.05939022000000001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E11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25.28125" style="0" customWidth="1"/>
    <col min="2" max="2" width="23.00390625" style="0" customWidth="1"/>
    <col min="3" max="3" width="31.00390625" style="0" customWidth="1"/>
    <col min="4" max="4" width="16.8515625" style="0" customWidth="1"/>
  </cols>
  <sheetData>
    <row r="6" spans="1:5" ht="12.75">
      <c r="A6" s="26" t="s">
        <v>49</v>
      </c>
      <c r="B6" s="10" t="s">
        <v>87</v>
      </c>
      <c r="C6" s="10" t="s">
        <v>85</v>
      </c>
      <c r="D6" s="10" t="s">
        <v>23</v>
      </c>
      <c r="E6" s="26" t="s">
        <v>25</v>
      </c>
    </row>
    <row r="7" spans="1:5" ht="12.75">
      <c r="A7" s="26"/>
      <c r="B7" s="156" t="s">
        <v>86</v>
      </c>
      <c r="C7" s="156" t="s">
        <v>84</v>
      </c>
      <c r="D7" s="156" t="s">
        <v>78</v>
      </c>
      <c r="E7" s="26"/>
    </row>
    <row r="8" spans="1:5" ht="12.75">
      <c r="A8" s="53"/>
      <c r="B8" s="55"/>
      <c r="C8" s="55"/>
      <c r="D8" s="55"/>
      <c r="E8" s="53"/>
    </row>
    <row r="9" spans="1:5" ht="12.75">
      <c r="A9" s="135" t="s">
        <v>5</v>
      </c>
      <c r="B9" s="6">
        <v>12</v>
      </c>
      <c r="C9" s="6">
        <v>0</v>
      </c>
      <c r="D9" s="56">
        <f>'Tráfico Lote 2 Fija'!M9</f>
        <v>41.05481243519512</v>
      </c>
      <c r="E9" s="24">
        <f>SUM(B9:D9)</f>
        <v>53.05481243519512</v>
      </c>
    </row>
    <row r="10" spans="1:5" ht="12.75">
      <c r="A10" s="136"/>
      <c r="B10" s="11"/>
      <c r="C10" s="11"/>
      <c r="D10" s="11"/>
      <c r="E10" s="30"/>
    </row>
    <row r="11" spans="1:5" ht="12.75">
      <c r="A11" s="135" t="s">
        <v>28</v>
      </c>
      <c r="B11" s="6">
        <v>12</v>
      </c>
      <c r="C11" s="6">
        <v>0</v>
      </c>
      <c r="D11" s="56">
        <f>D9</f>
        <v>41.05481243519512</v>
      </c>
      <c r="E11" s="24">
        <f>SUM(B11:D11)</f>
        <v>53.05481243519512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G16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52.00390625" style="0" customWidth="1"/>
    <col min="3" max="3" width="7.140625" style="0" customWidth="1"/>
    <col min="4" max="4" width="7.28125" style="0" customWidth="1"/>
    <col min="5" max="5" width="37.140625" style="0" customWidth="1"/>
    <col min="6" max="6" width="13.00390625" style="0" customWidth="1"/>
  </cols>
  <sheetData>
    <row r="3" spans="2:6" ht="12.75">
      <c r="B3" s="13" t="s">
        <v>74</v>
      </c>
      <c r="C3" s="13" t="s">
        <v>79</v>
      </c>
      <c r="D3" s="14"/>
      <c r="E3" s="10" t="s">
        <v>44</v>
      </c>
      <c r="F3" s="10"/>
    </row>
    <row r="4" spans="2:6" ht="12.75">
      <c r="B4" s="10"/>
      <c r="C4" s="159" t="s">
        <v>41</v>
      </c>
      <c r="D4" s="159" t="s">
        <v>42</v>
      </c>
      <c r="E4" s="138" t="s">
        <v>80</v>
      </c>
      <c r="F4" s="27" t="s">
        <v>62</v>
      </c>
    </row>
    <row r="5" spans="2:6" ht="12.75">
      <c r="B5" s="55"/>
      <c r="C5" s="21"/>
      <c r="D5" s="21"/>
      <c r="E5" s="21"/>
      <c r="F5" s="21"/>
    </row>
    <row r="6" spans="2:6" ht="12.75">
      <c r="B6" s="10" t="s">
        <v>81</v>
      </c>
      <c r="C6" s="5"/>
      <c r="D6" s="57">
        <f>'Puntuación Lote  2 Fija'!E9</f>
        <v>53.05481243519512</v>
      </c>
      <c r="E6" s="56">
        <f>D6</f>
        <v>53.05481243519512</v>
      </c>
      <c r="F6" s="31"/>
    </row>
    <row r="7" spans="2:6" ht="12.75">
      <c r="B7" s="55"/>
      <c r="C7" s="3"/>
      <c r="D7" s="3"/>
      <c r="E7" s="4"/>
      <c r="F7" s="36"/>
    </row>
    <row r="8" spans="2:7" ht="12.75">
      <c r="B8" s="10" t="s">
        <v>82</v>
      </c>
      <c r="C8" s="23">
        <f>'Puntuación Lote 1 movil'!E10</f>
        <v>73.89490286320436</v>
      </c>
      <c r="D8" s="5"/>
      <c r="E8" s="24">
        <f>C8*C16</f>
        <v>160.88645474163874</v>
      </c>
      <c r="F8" s="31"/>
      <c r="G8" s="32"/>
    </row>
    <row r="9" spans="2:7" ht="12.75">
      <c r="B9" s="161"/>
      <c r="C9" s="157"/>
      <c r="D9" s="158"/>
      <c r="E9" s="31"/>
      <c r="F9" s="31"/>
      <c r="G9" s="32"/>
    </row>
    <row r="10" spans="2:7" ht="12.75">
      <c r="B10" s="10"/>
      <c r="C10" s="23"/>
      <c r="D10" s="5"/>
      <c r="E10" s="160" t="s">
        <v>83</v>
      </c>
      <c r="F10" s="31">
        <f>E6+E8</f>
        <v>213.94126717683386</v>
      </c>
      <c r="G10" s="32"/>
    </row>
    <row r="11" spans="2:6" ht="12.75">
      <c r="B11" s="55"/>
      <c r="C11" s="3"/>
      <c r="D11" s="3"/>
      <c r="E11" s="4"/>
      <c r="F11" s="4"/>
    </row>
    <row r="12" spans="2:6" ht="12.75">
      <c r="B12" s="10" t="s">
        <v>43</v>
      </c>
      <c r="C12" s="23">
        <f>'Puntuación Lote 1 movil'!E16</f>
        <v>74.95478255085814</v>
      </c>
      <c r="D12" s="57">
        <f>D6</f>
        <v>53.05481243519512</v>
      </c>
      <c r="E12" s="24">
        <f>C12*C16+D12</f>
        <v>216.2488726921285</v>
      </c>
      <c r="F12" s="162">
        <f>E12</f>
        <v>216.2488726921285</v>
      </c>
    </row>
    <row r="16" spans="2:3" ht="12.75">
      <c r="B16" s="58" t="s">
        <v>45</v>
      </c>
      <c r="C16" s="58">
        <v>2.177233456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6:E10"/>
  <sheetViews>
    <sheetView zoomScalePageLayoutView="0" workbookViewId="0" topLeftCell="A1">
      <selection activeCell="E19" sqref="E19"/>
    </sheetView>
  </sheetViews>
  <sheetFormatPr defaultColWidth="11.421875" defaultRowHeight="12.75"/>
  <cols>
    <col min="3" max="3" width="26.421875" style="0" customWidth="1"/>
    <col min="4" max="4" width="27.421875" style="0" customWidth="1"/>
    <col min="5" max="5" width="20.57421875" style="0" customWidth="1"/>
  </cols>
  <sheetData>
    <row r="6" spans="2:5" ht="12.75">
      <c r="B6" s="5"/>
      <c r="C6" s="138" t="s">
        <v>64</v>
      </c>
      <c r="D6" s="138" t="s">
        <v>66</v>
      </c>
      <c r="E6" s="138" t="s">
        <v>72</v>
      </c>
    </row>
    <row r="7" spans="2:5" ht="12.75">
      <c r="B7" s="138" t="s">
        <v>63</v>
      </c>
      <c r="C7" s="139" t="s">
        <v>65</v>
      </c>
      <c r="D7" s="139" t="s">
        <v>65</v>
      </c>
      <c r="E7" s="137" t="s">
        <v>67</v>
      </c>
    </row>
    <row r="8" spans="2:5" ht="12.75">
      <c r="B8" s="138" t="s">
        <v>68</v>
      </c>
      <c r="C8" s="139" t="s">
        <v>65</v>
      </c>
      <c r="D8" s="139" t="s">
        <v>71</v>
      </c>
      <c r="E8" s="137" t="s">
        <v>26</v>
      </c>
    </row>
    <row r="9" spans="2:5" ht="12.75">
      <c r="B9" s="138" t="s">
        <v>69</v>
      </c>
      <c r="C9" s="139" t="s">
        <v>73</v>
      </c>
      <c r="D9" s="139" t="s">
        <v>65</v>
      </c>
      <c r="E9" s="3" t="str">
        <f>E7</f>
        <v>France Telecom</v>
      </c>
    </row>
    <row r="10" spans="2:5" ht="12.75">
      <c r="B10" s="138" t="s">
        <v>70</v>
      </c>
      <c r="C10" s="139" t="s">
        <v>73</v>
      </c>
      <c r="D10" s="139" t="s">
        <v>71</v>
      </c>
      <c r="E10" s="3" t="str">
        <f>E8</f>
        <v>Integrada Telefónica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mgp</cp:lastModifiedBy>
  <cp:lastPrinted>2013-02-20T12:26:05Z</cp:lastPrinted>
  <dcterms:created xsi:type="dcterms:W3CDTF">2013-02-19T11:09:24Z</dcterms:created>
  <dcterms:modified xsi:type="dcterms:W3CDTF">2013-03-19T09:23:26Z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1109895247</vt:i4>
  </property>
  <property fmtid="{D5CDD505-2E9C-101B-9397-08002B2CF9AE}" pid="3" name="_NewReviewCycle">
    <vt:lpwstr/>
  </property>
  <property fmtid="{D5CDD505-2E9C-101B-9397-08002B2CF9AE}" pid="4" name="_EmailSubject">
    <vt:lpwstr>Ultimos informes Concurso Telefonía</vt:lpwstr>
  </property>
  <property fmtid="{D5CDD505-2E9C-101B-9397-08002B2CF9AE}" pid="5" name="_AuthorEmail">
    <vt:lpwstr>antonio.rodriguez@uca.es</vt:lpwstr>
  </property>
  <property fmtid="{D5CDD505-2E9C-101B-9397-08002B2CF9AE}" pid="6" name="_AuthorEmailDisplayName">
    <vt:lpwstr>Antonio Rodriguez</vt:lpwstr>
  </property>
  <property fmtid="{D5CDD505-2E9C-101B-9397-08002B2CF9AE}" pid="7" name="_ReviewingToolsShownOnce">
    <vt:lpwstr/>
  </property>
</Properties>
</file>